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trujillo\Desktop\LE_Compendio2018\cap15\"/>
    </mc:Choice>
  </mc:AlternateContent>
  <bookViews>
    <workbookView xWindow="90" yWindow="255" windowWidth="17130" windowHeight="6705"/>
  </bookViews>
  <sheets>
    <sheet name="1541" sheetId="1" r:id="rId1"/>
    <sheet name="1541(2)" sheetId="3" r:id="rId2"/>
  </sheets>
  <externalReferences>
    <externalReference r:id="rId3"/>
    <externalReference r:id="rId4"/>
    <externalReference r:id="rId5"/>
  </externalReferences>
  <definedNames>
    <definedName name="_1__123Graph_AGráfico_1A" hidden="1">[1]HIERRO!$B$47:$D$47</definedName>
    <definedName name="_2__123Graph_BCHART_1" hidden="1">[2]EST_PB!$B$18:$D$18</definedName>
    <definedName name="_3__123Graph_BGráfico_1A" hidden="1">[1]HIERRO!$B$49:$D$49</definedName>
    <definedName name="_4__123Graph_CCHART_1" hidden="1">[2]EST_PB!$B$19:$D$19</definedName>
    <definedName name="_5__123Graph_CGráfico_1A" hidden="1">[1]HIERRO!$B$51:$D$51</definedName>
    <definedName name="_6__123Graph_DGráfico_1A" hidden="1">[1]HIERRO!$B$53:$D$53</definedName>
    <definedName name="_7__123Graph_EGráfico_1A" hidden="1">[1]HIERRO!$B$53:$D$53</definedName>
    <definedName name="_8__123Graph_FGráfico_1A" localSheetId="1" hidden="1">[2]HIERRO!#REF!</definedName>
    <definedName name="_8__123Graph_FGráfico_1A" hidden="1">[2]HIERRO!#REF!</definedName>
    <definedName name="_9__123Graph_XGráfico_1A" localSheetId="1" hidden="1">[2]HIERRO!#REF!</definedName>
    <definedName name="_9__123Graph_XGráfico_1A" hidden="1">[2]HIERRO!#REF!</definedName>
    <definedName name="_Key1" localSheetId="0" hidden="1">#REF!</definedName>
    <definedName name="_Key1" localSheetId="1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hidden="1">#REF!</definedName>
    <definedName name="_MatInverse_In" hidden="1">[3]Asfalto!$T$7:$U$8</definedName>
    <definedName name="_MatInverse_Out" hidden="1">[3]Asfalto!$T$10:$T$10</definedName>
    <definedName name="_MatMult_A" hidden="1">[3]Asfalto!$T$10:$U$11</definedName>
    <definedName name="_MatMult_AxB" hidden="1">[3]Asfalto!$V$7:$V$7</definedName>
    <definedName name="_MatMult_B" hidden="1">[3]Asfalto!$W$7:$W$8</definedName>
    <definedName name="_Order1" hidden="1">0</definedName>
    <definedName name="_Order2" hidden="1">0</definedName>
    <definedName name="_Sort" localSheetId="0" hidden="1">#REF!</definedName>
    <definedName name="_Sort" localSheetId="1" hidden="1">#REF!</definedName>
    <definedName name="_Sort" hidden="1">#REF!</definedName>
    <definedName name="_xlnm.Print_Area" localSheetId="0">'1541'!$A$1:$D$37</definedName>
    <definedName name="_xlnm.Print_Area" localSheetId="1">'1541(2)'!$A$1:$D$50</definedName>
    <definedName name="cartera" hidden="1">255</definedName>
  </definedNames>
  <calcPr calcId="152511"/>
</workbook>
</file>

<file path=xl/calcChain.xml><?xml version="1.0" encoding="utf-8"?>
<calcChain xmlns="http://schemas.openxmlformats.org/spreadsheetml/2006/main">
  <c r="C44" i="3" l="1"/>
  <c r="B44" i="3"/>
  <c r="D43" i="3"/>
  <c r="C43" i="3"/>
  <c r="B43" i="3"/>
  <c r="D42" i="3"/>
  <c r="D41" i="3" s="1"/>
  <c r="D37" i="3" s="1"/>
  <c r="C42" i="3"/>
  <c r="C41" i="3" s="1"/>
  <c r="C37" i="3" s="1"/>
  <c r="B42" i="3"/>
  <c r="B37" i="3"/>
  <c r="B36" i="3"/>
  <c r="B35" i="3"/>
  <c r="C34" i="3"/>
  <c r="C33" i="3" s="1"/>
  <c r="C30" i="3" s="1"/>
  <c r="B34" i="3"/>
  <c r="D33" i="3"/>
  <c r="D30" i="3"/>
  <c r="B30" i="3"/>
  <c r="D28" i="3"/>
  <c r="C28" i="3"/>
  <c r="B28" i="3"/>
  <c r="D27" i="3"/>
  <c r="C27" i="3"/>
  <c r="C26" i="3" s="1"/>
  <c r="C25" i="3" s="1"/>
  <c r="B27" i="3"/>
  <c r="D26" i="3"/>
  <c r="D25" i="3" s="1"/>
  <c r="B25" i="3"/>
  <c r="D24" i="3"/>
  <c r="C24" i="3"/>
  <c r="B24" i="3"/>
  <c r="D23" i="3"/>
  <c r="C23" i="3"/>
  <c r="B23" i="3"/>
  <c r="C22" i="3"/>
  <c r="C19" i="3" s="1"/>
  <c r="C18" i="3" s="1"/>
  <c r="B19" i="3"/>
  <c r="B18" i="3" s="1"/>
  <c r="B16" i="3"/>
  <c r="B15" i="3" s="1"/>
  <c r="B13" i="3"/>
  <c r="D12" i="3"/>
  <c r="D11" i="3" s="1"/>
  <c r="C12" i="3"/>
  <c r="C11" i="3" s="1"/>
  <c r="B12" i="3"/>
  <c r="B11" i="3" s="1"/>
  <c r="B8" i="3" s="1"/>
  <c r="D22" i="3" l="1"/>
  <c r="D19" i="3" s="1"/>
  <c r="D18" i="3" s="1"/>
  <c r="D29" i="3"/>
  <c r="B29" i="3"/>
  <c r="C8" i="3"/>
  <c r="C7" i="3"/>
  <c r="D8" i="3"/>
  <c r="D7" i="3"/>
  <c r="C29" i="3"/>
  <c r="B7" i="3"/>
  <c r="B20" i="1" l="1"/>
  <c r="B19" i="1" s="1"/>
  <c r="B18" i="1"/>
  <c r="B17" i="1"/>
  <c r="D12" i="1"/>
  <c r="C12" i="1"/>
  <c r="B12" i="1"/>
  <c r="B9" i="1"/>
  <c r="B26" i="1"/>
  <c r="B34" i="1"/>
  <c r="B25" i="1" s="1"/>
  <c r="C30" i="1"/>
  <c r="C29" i="1" s="1"/>
  <c r="C25" i="1" s="1"/>
  <c r="C19" i="1"/>
  <c r="C18" i="1"/>
  <c r="C17" i="1"/>
  <c r="C9" i="1"/>
  <c r="B16" i="1" l="1"/>
  <c r="B15" i="1" s="1"/>
  <c r="B7" i="1" s="1"/>
  <c r="B33" i="1"/>
  <c r="C26" i="1"/>
  <c r="C16" i="1"/>
  <c r="C15" i="1" s="1"/>
  <c r="C7" i="1" s="1"/>
  <c r="C8" i="1" l="1"/>
  <c r="B8" i="1"/>
  <c r="D30" i="1" l="1"/>
  <c r="D29" i="1" s="1"/>
  <c r="D18" i="1"/>
  <c r="D22" i="1"/>
  <c r="D17" i="1"/>
  <c r="D9" i="1"/>
  <c r="D25" i="1" l="1"/>
  <c r="D26" i="1"/>
  <c r="D16" i="1"/>
  <c r="D15" i="1" s="1"/>
  <c r="D7" i="1" s="1"/>
  <c r="D8" i="1" l="1"/>
</calcChain>
</file>

<file path=xl/sharedStrings.xml><?xml version="1.0" encoding="utf-8"?>
<sst xmlns="http://schemas.openxmlformats.org/spreadsheetml/2006/main" count="83" uniqueCount="34">
  <si>
    <t>Áreas sin contrato / No operadas</t>
  </si>
  <si>
    <t xml:space="preserve">       Sur</t>
  </si>
  <si>
    <t xml:space="preserve">       Central</t>
  </si>
  <si>
    <t xml:space="preserve">       Norte</t>
  </si>
  <si>
    <t xml:space="preserve">    Selva</t>
  </si>
  <si>
    <t>-</t>
  </si>
  <si>
    <t xml:space="preserve">        Central</t>
  </si>
  <si>
    <t xml:space="preserve">        Norte</t>
  </si>
  <si>
    <t>Recursos Prospectivos</t>
  </si>
  <si>
    <t>Zona Geográfica</t>
  </si>
  <si>
    <t>Recursos Contingentes</t>
  </si>
  <si>
    <t>Reservas posibles</t>
  </si>
  <si>
    <t>Reservas probables</t>
  </si>
  <si>
    <t>Reservas probadas</t>
  </si>
  <si>
    <t>Contratos en Fase de Explotación</t>
  </si>
  <si>
    <t>Contratos en Fase de Exploración</t>
  </si>
  <si>
    <t xml:space="preserve">     (Miles de barriles)</t>
  </si>
  <si>
    <t>Continúa …</t>
  </si>
  <si>
    <t>Conclusión</t>
  </si>
  <si>
    <t>Desarrolladas</t>
  </si>
  <si>
    <t>No desarrolladas</t>
  </si>
  <si>
    <t>Sur</t>
  </si>
  <si>
    <t>Sierra</t>
  </si>
  <si>
    <t>Zócalo</t>
  </si>
  <si>
    <t>Selva</t>
  </si>
  <si>
    <t>Norte</t>
  </si>
  <si>
    <t>Central</t>
  </si>
  <si>
    <t>Costa</t>
  </si>
  <si>
    <t xml:space="preserve">   "Libro Anual de Recursos de Hidrocarburos 2016".</t>
  </si>
  <si>
    <t xml:space="preserve">    GEOGRÁFICA, 2014-2016</t>
  </si>
  <si>
    <t xml:space="preserve">15.41   RESERVAS Y RECURSOS DE PETRÓLEO CRUDO, SEGÚN ZONA </t>
  </si>
  <si>
    <r>
      <rPr>
        <b/>
        <sz val="6"/>
        <rFont val="Arial Narrow"/>
        <family val="2"/>
      </rPr>
      <t>Nota</t>
    </r>
    <r>
      <rPr>
        <sz val="6"/>
        <rFont val="Arial Narrow"/>
        <family val="2"/>
      </rPr>
      <t>: Las diferencias en los totales y subtotales se deben al redondeo de cifras.</t>
    </r>
    <r>
      <rPr>
        <b/>
        <sz val="6"/>
        <rFont val="Arial Narrow"/>
        <family val="2"/>
      </rPr>
      <t xml:space="preserve">
Reservas,</t>
    </r>
    <r>
      <rPr>
        <sz val="6"/>
        <rFont val="Arial Narrow"/>
        <family val="2"/>
      </rPr>
      <t xml:space="preserve"> son aquellas cantidades de petróleo y gas natural que se anticipan como recuperables comercialmente mediante proyectos de desarrollo en acumulaciones conocidas, desde una fecha en adelante, bajo condiciones definidas. Las reservas deben además satisfacer cuatro criterios: deben haber sido descubiertas, ser recuperables, ser comerciales y estar remanentes (a la fecha de evaluación) basados en los proyectos de desarrollo aplicados.
</t>
    </r>
    <r>
      <rPr>
        <b/>
        <sz val="6"/>
        <rFont val="Arial Narrow"/>
        <family val="2"/>
      </rPr>
      <t>Recursos Contingentes,</t>
    </r>
    <r>
      <rPr>
        <sz val="6"/>
        <rFont val="Arial Narrow"/>
        <family val="2"/>
      </rPr>
      <t xml:space="preserve"> son aquellas cantidades estimadas de petróleo y gas natural, a una fecha dada, a ser potencialmente recuperables  de acumulaciones conocidas, pero los proyectos que pudieran ser aplicados aún no se consideran lo suficientemente maduros para un desarrollo comercial, debido a una o más contingencias.
</t>
    </r>
    <r>
      <rPr>
        <b/>
        <sz val="6"/>
        <rFont val="Arial Narrow"/>
        <family val="2"/>
      </rPr>
      <t>Recursos Prospectivos,</t>
    </r>
    <r>
      <rPr>
        <sz val="6"/>
        <rFont val="Arial Narrow"/>
        <family val="2"/>
      </rPr>
      <t xml:space="preserve"> son aquellas cantidades de petróleo y gas natural estimadas, a una fecha dada, a ser potencialmente recuperables de acumulaciones aún no descubiertas.</t>
    </r>
  </si>
  <si>
    <t>Fuente: Ministerio de Energía y Minas - Dirección General de Hidrocarburos,</t>
  </si>
  <si>
    <t xml:space="preserve">   "Libro Anual de Reservas de Hidrocarburos 2014 y 2015",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</si>
</sst>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43" formatCode="_ * #,##0.00_ ;_ * \-#,##0.00_ ;_ * &quot;-&quot;??_ ;_ @_ "/>
    <numFmt numFmtId="164" formatCode="#\ ###\ ##0;0;&quot;-&quot;"/>
    <numFmt numFmtId="165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7"/>
      <name val="Times New Roman"/>
      <family val="1"/>
    </font>
    <font>
      <sz val="7"/>
      <name val="Arial Narrow"/>
      <family val="2"/>
    </font>
    <font>
      <sz val="8"/>
      <name val="Arial Narrow"/>
      <family val="2"/>
    </font>
    <font>
      <i/>
      <sz val="10"/>
      <name val="Times New Roman"/>
      <family val="1"/>
    </font>
    <font>
      <b/>
      <sz val="6"/>
      <name val="Arial Narrow"/>
      <family val="2"/>
    </font>
    <font>
      <sz val="6"/>
      <name val="Arial Narrow"/>
      <family val="2"/>
    </font>
    <font>
      <b/>
      <sz val="8"/>
      <name val="Arial Narrow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Courier"/>
      <family val="3"/>
    </font>
    <font>
      <b/>
      <sz val="7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4" fillId="0" borderId="0"/>
    <xf numFmtId="1" fontId="9" fillId="0" borderId="0"/>
    <xf numFmtId="165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1" fillId="0" borderId="0"/>
    <xf numFmtId="0" fontId="10" fillId="0" borderId="0"/>
  </cellStyleXfs>
  <cellXfs count="34">
    <xf numFmtId="0" fontId="0" fillId="0" borderId="0" xfId="0"/>
    <xf numFmtId="0" fontId="2" fillId="0" borderId="0" xfId="1" applyFont="1" applyAlignment="1">
      <alignment horizontal="right" vertical="center"/>
    </xf>
    <xf numFmtId="0" fontId="2" fillId="2" borderId="0" xfId="1" applyFont="1" applyFill="1" applyAlignment="1">
      <alignment horizontal="right" vertical="center"/>
    </xf>
    <xf numFmtId="0" fontId="2" fillId="0" borderId="0" xfId="1" applyFont="1" applyAlignment="1">
      <alignment horizontal="left" vertical="center"/>
    </xf>
    <xf numFmtId="164" fontId="3" fillId="0" borderId="0" xfId="2" applyNumberFormat="1" applyFont="1" applyBorder="1" applyAlignment="1" applyProtection="1">
      <alignment horizontal="right" vertical="center"/>
    </xf>
    <xf numFmtId="164" fontId="3" fillId="2" borderId="0" xfId="2" applyNumberFormat="1" applyFont="1" applyFill="1" applyBorder="1" applyAlignment="1" applyProtection="1">
      <alignment horizontal="right" vertical="center"/>
    </xf>
    <xf numFmtId="164" fontId="3" fillId="0" borderId="0" xfId="2" quotePrefix="1" applyNumberFormat="1" applyFont="1" applyBorder="1" applyAlignment="1" applyProtection="1">
      <alignment horizontal="right" vertical="center"/>
    </xf>
    <xf numFmtId="0" fontId="5" fillId="0" borderId="0" xfId="3" quotePrefix="1" applyFont="1" applyBorder="1" applyAlignment="1" applyProtection="1">
      <alignment horizontal="left" vertical="center" indent="2"/>
    </xf>
    <xf numFmtId="0" fontId="2" fillId="0" borderId="0" xfId="1" applyFont="1" applyBorder="1" applyAlignment="1">
      <alignment horizontal="right" vertical="center"/>
    </xf>
    <xf numFmtId="0" fontId="2" fillId="2" borderId="0" xfId="1" applyFont="1" applyFill="1" applyBorder="1" applyAlignment="1">
      <alignment horizontal="right" vertical="center"/>
    </xf>
    <xf numFmtId="0" fontId="5" fillId="0" borderId="0" xfId="3" quotePrefix="1" applyFont="1" applyBorder="1" applyAlignment="1" applyProtection="1">
      <alignment horizontal="left" vertical="center"/>
    </xf>
    <xf numFmtId="164" fontId="3" fillId="0" borderId="2" xfId="2" applyNumberFormat="1" applyFont="1" applyBorder="1" applyAlignment="1" applyProtection="1">
      <alignment horizontal="right" vertical="center"/>
    </xf>
    <xf numFmtId="164" fontId="3" fillId="2" borderId="2" xfId="2" applyNumberFormat="1" applyFont="1" applyFill="1" applyBorder="1" applyAlignment="1" applyProtection="1">
      <alignment horizontal="right" vertical="center"/>
    </xf>
    <xf numFmtId="0" fontId="3" fillId="0" borderId="3" xfId="1" applyFont="1" applyBorder="1" applyAlignment="1" applyProtection="1">
      <alignment horizontal="left" vertical="center"/>
    </xf>
    <xf numFmtId="0" fontId="3" fillId="0" borderId="4" xfId="1" applyFont="1" applyBorder="1" applyAlignment="1" applyProtection="1">
      <alignment horizontal="left" vertical="center"/>
    </xf>
    <xf numFmtId="0" fontId="3" fillId="0" borderId="4" xfId="1" quotePrefix="1" applyFont="1" applyBorder="1" applyAlignment="1" applyProtection="1">
      <alignment horizontal="left" vertical="center"/>
    </xf>
    <xf numFmtId="164" fontId="3" fillId="2" borderId="0" xfId="2" quotePrefix="1" applyNumberFormat="1" applyFont="1" applyFill="1" applyBorder="1" applyAlignment="1" applyProtection="1">
      <alignment horizontal="right" vertical="center"/>
    </xf>
    <xf numFmtId="164" fontId="7" fillId="2" borderId="0" xfId="2" quotePrefix="1" applyNumberFormat="1" applyFont="1" applyFill="1" applyBorder="1" applyAlignment="1" applyProtection="1">
      <alignment horizontal="right" vertical="center"/>
    </xf>
    <xf numFmtId="0" fontId="7" fillId="0" borderId="4" xfId="1" applyFont="1" applyBorder="1" applyAlignment="1" applyProtection="1">
      <alignment horizontal="left" vertical="center"/>
    </xf>
    <xf numFmtId="0" fontId="7" fillId="0" borderId="5" xfId="1" applyFont="1" applyBorder="1" applyAlignment="1" applyProtection="1">
      <alignment horizontal="right" vertical="center"/>
    </xf>
    <xf numFmtId="0" fontId="7" fillId="2" borderId="5" xfId="1" applyFont="1" applyFill="1" applyBorder="1" applyAlignment="1" applyProtection="1">
      <alignment horizontal="right" vertical="center"/>
    </xf>
    <xf numFmtId="0" fontId="7" fillId="0" borderId="6" xfId="1" applyFont="1" applyBorder="1" applyAlignment="1">
      <alignment horizontal="center" vertical="center"/>
    </xf>
    <xf numFmtId="0" fontId="3" fillId="0" borderId="0" xfId="1" quotePrefix="1" applyFont="1" applyBorder="1" applyAlignment="1" applyProtection="1">
      <alignment horizontal="left" vertical="center" indent="2"/>
    </xf>
    <xf numFmtId="0" fontId="8" fillId="0" borderId="0" xfId="1" quotePrefix="1" applyFont="1" applyAlignment="1" applyProtection="1">
      <alignment horizontal="left" vertical="center" indent="2"/>
    </xf>
    <xf numFmtId="0" fontId="2" fillId="0" borderId="7" xfId="1" applyFont="1" applyBorder="1" applyAlignment="1">
      <alignment horizontal="right" vertical="center"/>
    </xf>
    <xf numFmtId="0" fontId="2" fillId="2" borderId="7" xfId="1" applyFont="1" applyFill="1" applyBorder="1" applyAlignment="1">
      <alignment horizontal="right" vertical="center"/>
    </xf>
    <xf numFmtId="0" fontId="3" fillId="0" borderId="7" xfId="1" quotePrefix="1" applyFont="1" applyBorder="1" applyAlignment="1" applyProtection="1">
      <alignment horizontal="left" vertical="center" indent="2"/>
    </xf>
    <xf numFmtId="0" fontId="8" fillId="0" borderId="0" xfId="1" quotePrefix="1" applyFont="1" applyAlignment="1" applyProtection="1">
      <alignment horizontal="left" vertical="center"/>
    </xf>
    <xf numFmtId="0" fontId="3" fillId="0" borderId="4" xfId="1" applyFont="1" applyBorder="1" applyAlignment="1" applyProtection="1">
      <alignment horizontal="left" vertical="center" indent="1"/>
    </xf>
    <xf numFmtId="164" fontId="12" fillId="0" borderId="0" xfId="2" applyNumberFormat="1" applyFont="1" applyBorder="1" applyAlignment="1" applyProtection="1">
      <alignment horizontal="right" vertical="center"/>
    </xf>
    <xf numFmtId="0" fontId="3" fillId="0" borderId="4" xfId="1" applyFont="1" applyBorder="1" applyAlignment="1" applyProtection="1">
      <alignment horizontal="left" vertical="center" indent="2"/>
    </xf>
    <xf numFmtId="0" fontId="3" fillId="0" borderId="3" xfId="1" applyFont="1" applyBorder="1" applyAlignment="1" applyProtection="1">
      <alignment horizontal="left" vertical="center" indent="1"/>
    </xf>
    <xf numFmtId="0" fontId="3" fillId="0" borderId="1" xfId="1" applyFont="1" applyBorder="1" applyAlignment="1" applyProtection="1">
      <alignment horizontal="left" vertical="center" indent="1"/>
    </xf>
    <xf numFmtId="0" fontId="6" fillId="0" borderId="1" xfId="3" quotePrefix="1" applyFont="1" applyBorder="1" applyAlignment="1" applyProtection="1">
      <alignment horizontal="justify" vertical="center" wrapText="1"/>
    </xf>
  </cellXfs>
  <cellStyles count="10">
    <cellStyle name="Border" xfId="4"/>
    <cellStyle name="Comma_Data Proyecto Antamina" xfId="5"/>
    <cellStyle name="Millares [0] 2" xfId="6"/>
    <cellStyle name="Millares 2" xfId="7"/>
    <cellStyle name="No-definido" xfId="8"/>
    <cellStyle name="Normal" xfId="0" builtinId="0"/>
    <cellStyle name="Normal 2" xfId="9"/>
    <cellStyle name="Normal_IEC12031" xfId="1"/>
    <cellStyle name="Normal_IEC12037" xfId="2"/>
    <cellStyle name="Normal_IEC1204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POLO/Configuraci&#243;n%20local/Archivos%20temporales%20de%20Internet/OLKC/PRODUCC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ANUARIO%202002\ANUARIO_TRADUCCION\ANUARIO_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studios%20econ&#243;micos/SAE/SEP/construcci&#243;n/1999/asfalto-barr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O_METALICA"/>
      <sheetName val="FINO_METALURG"/>
      <sheetName val="GRAF_PRODUCTOS"/>
      <sheetName val="PROD_AU"/>
      <sheetName val="PROD_CU"/>
      <sheetName val="PROD_ZN"/>
      <sheetName val="PROD_PB"/>
      <sheetName val="PROD_AG"/>
      <sheetName val="HIERRO"/>
      <sheetName val="ESTAÑO"/>
      <sheetName val="NO_METALICA"/>
      <sheetName val="COTI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CONSUMO LOCAL DE PRODUCTOS MINEROS 1992 - 2001 /  LOCAL CONSUPTION OF  MINING PRODUCTS 1992 - 2001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A2" t="str">
            <v>PRODUCCION MINERA DE COBRE A NIVEL CONCENTRADOS, SEGUN ESTRATOS 1992 - 2001 / COPPER MINING PRODUCTION BY CONCENTRATED ACCORDING TO LAYERS 1992 - 2001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A1" t="str">
            <v>PRODUCCION MINERA DE PLOMO A NIVEL CONCENTRADOS, SEGUN ESTRATOS  1992  -  2001 / LEAD MINING PRODUCTION BY CONCENTRATED ACCORDING TO LAYERS 1992 - 2001</v>
          </cell>
        </row>
        <row r="18">
          <cell r="B18">
            <v>118103</v>
          </cell>
          <cell r="C18">
            <v>118131</v>
          </cell>
          <cell r="D18">
            <v>133258</v>
          </cell>
        </row>
        <row r="19">
          <cell r="B19">
            <v>16743</v>
          </cell>
          <cell r="C19">
            <v>18324</v>
          </cell>
          <cell r="D19">
            <v>12203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falto"/>
      <sheetName val="Barra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D37"/>
  <sheetViews>
    <sheetView showGridLines="0" showZeros="0" tabSelected="1" zoomScale="110" zoomScaleNormal="110" workbookViewId="0">
      <selection activeCell="A8" sqref="A8"/>
    </sheetView>
  </sheetViews>
  <sheetFormatPr baseColWidth="10" defaultColWidth="7.140625" defaultRowHeight="9" x14ac:dyDescent="0.25"/>
  <cols>
    <col min="1" max="1" width="24.5703125" style="3" customWidth="1"/>
    <col min="2" max="2" width="9.7109375" style="2" customWidth="1"/>
    <col min="3" max="4" width="9.7109375" style="1" customWidth="1"/>
    <col min="5" max="28" width="7.140625" style="1" customWidth="1"/>
    <col min="29" max="16384" width="7.140625" style="1"/>
  </cols>
  <sheetData>
    <row r="1" spans="1:4" ht="12" customHeight="1" x14ac:dyDescent="0.25">
      <c r="A1" s="27" t="s">
        <v>30</v>
      </c>
    </row>
    <row r="2" spans="1:4" ht="12" customHeight="1" x14ac:dyDescent="0.25">
      <c r="A2" s="23" t="s">
        <v>29</v>
      </c>
    </row>
    <row r="3" spans="1:4" s="8" customFormat="1" ht="10.9" customHeight="1" x14ac:dyDescent="0.25">
      <c r="A3" s="22" t="s">
        <v>16</v>
      </c>
      <c r="B3" s="9"/>
    </row>
    <row r="4" spans="1:4" ht="3" customHeight="1" x14ac:dyDescent="0.25">
      <c r="A4" s="26"/>
      <c r="B4" s="25"/>
      <c r="C4" s="24"/>
      <c r="D4" s="24"/>
    </row>
    <row r="5" spans="1:4" ht="13.5" customHeight="1" x14ac:dyDescent="0.25">
      <c r="A5" s="21" t="s">
        <v>9</v>
      </c>
      <c r="B5" s="20">
        <v>2014</v>
      </c>
      <c r="C5" s="19">
        <v>2015</v>
      </c>
      <c r="D5" s="19">
        <v>2016</v>
      </c>
    </row>
    <row r="6" spans="1:4" ht="3" customHeight="1" x14ac:dyDescent="0.25">
      <c r="A6" s="14"/>
      <c r="B6" s="5"/>
      <c r="C6" s="5"/>
      <c r="D6" s="5"/>
    </row>
    <row r="7" spans="1:4" ht="10.15" customHeight="1" x14ac:dyDescent="0.25">
      <c r="A7" s="18" t="s">
        <v>13</v>
      </c>
      <c r="B7" s="17">
        <f>+B12+B9+B15-1</f>
        <v>682681</v>
      </c>
      <c r="C7" s="17">
        <f>+C12+C9+C15</f>
        <v>473100</v>
      </c>
      <c r="D7" s="17">
        <f>+D12+D9+D15+1</f>
        <v>434882</v>
      </c>
    </row>
    <row r="8" spans="1:4" ht="10.15" customHeight="1" x14ac:dyDescent="0.25">
      <c r="A8" s="14" t="s">
        <v>14</v>
      </c>
      <c r="B8" s="16">
        <f>+B9+B12+B15-1</f>
        <v>682681</v>
      </c>
      <c r="C8" s="16">
        <f t="shared" ref="C8" si="0">+C9+C12+C15</f>
        <v>473100</v>
      </c>
      <c r="D8" s="16">
        <f>+D9+D12+D15+1</f>
        <v>434882</v>
      </c>
    </row>
    <row r="9" spans="1:4" ht="10.15" customHeight="1" x14ac:dyDescent="0.25">
      <c r="A9" s="14" t="s">
        <v>23</v>
      </c>
      <c r="B9" s="4">
        <f>+B10+B11</f>
        <v>116205</v>
      </c>
      <c r="C9" s="4">
        <f>+C10+C11-1</f>
        <v>39256</v>
      </c>
      <c r="D9" s="4">
        <f>+D10+D11</f>
        <v>26899</v>
      </c>
    </row>
    <row r="10" spans="1:4" ht="10.15" customHeight="1" x14ac:dyDescent="0.25">
      <c r="A10" s="28" t="s">
        <v>19</v>
      </c>
      <c r="B10" s="5">
        <v>75586</v>
      </c>
      <c r="C10" s="4">
        <v>23417</v>
      </c>
      <c r="D10" s="4">
        <v>20465</v>
      </c>
    </row>
    <row r="11" spans="1:4" ht="10.15" customHeight="1" x14ac:dyDescent="0.25">
      <c r="A11" s="28" t="s">
        <v>20</v>
      </c>
      <c r="B11" s="5">
        <v>40619</v>
      </c>
      <c r="C11" s="4">
        <v>15840</v>
      </c>
      <c r="D11" s="4">
        <v>6434</v>
      </c>
    </row>
    <row r="12" spans="1:4" ht="10.15" customHeight="1" x14ac:dyDescent="0.25">
      <c r="A12" s="14" t="s">
        <v>27</v>
      </c>
      <c r="B12" s="4">
        <f t="shared" ref="B12:D12" si="1">+B13+B14</f>
        <v>232697</v>
      </c>
      <c r="C12" s="4">
        <f t="shared" si="1"/>
        <v>147687</v>
      </c>
      <c r="D12" s="4">
        <f t="shared" si="1"/>
        <v>145680</v>
      </c>
    </row>
    <row r="13" spans="1:4" ht="10.15" customHeight="1" x14ac:dyDescent="0.25">
      <c r="A13" s="28" t="s">
        <v>19</v>
      </c>
      <c r="B13" s="5">
        <v>135081</v>
      </c>
      <c r="C13" s="4">
        <v>89261</v>
      </c>
      <c r="D13" s="4">
        <v>88144</v>
      </c>
    </row>
    <row r="14" spans="1:4" ht="10.15" customHeight="1" x14ac:dyDescent="0.25">
      <c r="A14" s="28" t="s">
        <v>20</v>
      </c>
      <c r="B14" s="5">
        <v>97616</v>
      </c>
      <c r="C14" s="4">
        <v>58426</v>
      </c>
      <c r="D14" s="4">
        <v>57536</v>
      </c>
    </row>
    <row r="15" spans="1:4" ht="10.15" customHeight="1" x14ac:dyDescent="0.25">
      <c r="A15" s="14" t="s">
        <v>24</v>
      </c>
      <c r="B15" s="16">
        <f>+B16+B19+B22+1</f>
        <v>333780</v>
      </c>
      <c r="C15" s="16">
        <f>+C16+C19+C22</f>
        <v>286157</v>
      </c>
      <c r="D15" s="16">
        <f>+D16+D19+D22</f>
        <v>262302</v>
      </c>
    </row>
    <row r="16" spans="1:4" ht="10.15" customHeight="1" x14ac:dyDescent="0.25">
      <c r="A16" s="28" t="s">
        <v>25</v>
      </c>
      <c r="B16" s="4">
        <f>+B17+B18</f>
        <v>331570</v>
      </c>
      <c r="C16" s="4">
        <f>+C17+C18</f>
        <v>279425</v>
      </c>
      <c r="D16" s="4">
        <f>+D17+D18</f>
        <v>254065</v>
      </c>
    </row>
    <row r="17" spans="1:4" ht="10.15" customHeight="1" x14ac:dyDescent="0.25">
      <c r="A17" s="30" t="s">
        <v>19</v>
      </c>
      <c r="B17" s="5">
        <f>70521+42774+16300</f>
        <v>129595</v>
      </c>
      <c r="C17" s="4">
        <f>34236+15745+56415</f>
        <v>106396</v>
      </c>
      <c r="D17" s="4">
        <f>32749+12452+9523+44854</f>
        <v>99578</v>
      </c>
    </row>
    <row r="18" spans="1:4" ht="10.15" customHeight="1" x14ac:dyDescent="0.25">
      <c r="A18" s="30" t="s">
        <v>20</v>
      </c>
      <c r="B18" s="5">
        <f>64436+11498+31441+94600</f>
        <v>201975</v>
      </c>
      <c r="C18" s="4">
        <f>1400+31441+94600+45588</f>
        <v>173029</v>
      </c>
      <c r="D18" s="4">
        <f>3346+13300+90700+47141</f>
        <v>154487</v>
      </c>
    </row>
    <row r="19" spans="1:4" ht="10.15" customHeight="1" x14ac:dyDescent="0.25">
      <c r="A19" s="28" t="s">
        <v>26</v>
      </c>
      <c r="B19" s="4">
        <f>+B20+B21</f>
        <v>2209</v>
      </c>
      <c r="C19" s="4">
        <f>+C20+C21</f>
        <v>6732</v>
      </c>
      <c r="D19" s="4">
        <v>0</v>
      </c>
    </row>
    <row r="20" spans="1:4" ht="10.15" customHeight="1" x14ac:dyDescent="0.25">
      <c r="A20" s="30" t="s">
        <v>19</v>
      </c>
      <c r="B20" s="5">
        <f>1834+204</f>
        <v>2038</v>
      </c>
      <c r="C20" s="4">
        <v>5627</v>
      </c>
      <c r="D20" s="4">
        <v>0</v>
      </c>
    </row>
    <row r="21" spans="1:4" ht="10.15" customHeight="1" x14ac:dyDescent="0.25">
      <c r="A21" s="30" t="s">
        <v>20</v>
      </c>
      <c r="B21" s="5">
        <v>171</v>
      </c>
      <c r="C21" s="4">
        <v>1105</v>
      </c>
      <c r="D21" s="4">
        <v>0</v>
      </c>
    </row>
    <row r="22" spans="1:4" ht="10.15" customHeight="1" x14ac:dyDescent="0.25">
      <c r="A22" s="28" t="s">
        <v>21</v>
      </c>
      <c r="B22" s="4">
        <v>0</v>
      </c>
      <c r="C22" s="4">
        <v>0</v>
      </c>
      <c r="D22" s="4">
        <f>+D23+D24</f>
        <v>8237</v>
      </c>
    </row>
    <row r="23" spans="1:4" ht="10.15" customHeight="1" x14ac:dyDescent="0.25">
      <c r="A23" s="30" t="s">
        <v>19</v>
      </c>
      <c r="B23" s="4">
        <v>0</v>
      </c>
      <c r="C23" s="4">
        <v>0</v>
      </c>
      <c r="D23" s="4">
        <v>5005</v>
      </c>
    </row>
    <row r="24" spans="1:4" ht="10.15" customHeight="1" x14ac:dyDescent="0.25">
      <c r="A24" s="30" t="s">
        <v>20</v>
      </c>
      <c r="B24" s="4">
        <v>0</v>
      </c>
      <c r="C24" s="4">
        <v>0</v>
      </c>
      <c r="D24" s="4">
        <v>3232</v>
      </c>
    </row>
    <row r="25" spans="1:4" ht="10.15" customHeight="1" x14ac:dyDescent="0.25">
      <c r="A25" s="18" t="s">
        <v>12</v>
      </c>
      <c r="B25" s="17">
        <f>SUM(B27:B29)+B34</f>
        <v>362219.3326189057</v>
      </c>
      <c r="C25" s="17">
        <f>SUM(C27:C29)-1</f>
        <v>191882</v>
      </c>
      <c r="D25" s="17">
        <f>SUM(D27:D29)</f>
        <v>255192</v>
      </c>
    </row>
    <row r="26" spans="1:4" ht="10.15" customHeight="1" x14ac:dyDescent="0.25">
      <c r="A26" s="14" t="s">
        <v>14</v>
      </c>
      <c r="B26" s="16">
        <f>SUM(B27:B29)</f>
        <v>304584.3326189057</v>
      </c>
      <c r="C26" s="16">
        <f t="shared" ref="C26:D26" si="2">SUM(C27:C29)</f>
        <v>191883</v>
      </c>
      <c r="D26" s="16">
        <f t="shared" si="2"/>
        <v>255192</v>
      </c>
    </row>
    <row r="27" spans="1:4" ht="10.15" customHeight="1" x14ac:dyDescent="0.25">
      <c r="A27" s="14" t="s">
        <v>23</v>
      </c>
      <c r="B27" s="5">
        <v>49502.496598011952</v>
      </c>
      <c r="C27" s="4">
        <v>41935</v>
      </c>
      <c r="D27" s="4">
        <v>32901</v>
      </c>
    </row>
    <row r="28" spans="1:4" ht="10.15" customHeight="1" x14ac:dyDescent="0.25">
      <c r="A28" s="14" t="s">
        <v>27</v>
      </c>
      <c r="B28" s="5">
        <v>45812.740524284076</v>
      </c>
      <c r="C28" s="4">
        <v>30451</v>
      </c>
      <c r="D28" s="4">
        <v>42006</v>
      </c>
    </row>
    <row r="29" spans="1:4" ht="10.15" customHeight="1" x14ac:dyDescent="0.25">
      <c r="A29" s="14" t="s">
        <v>24</v>
      </c>
      <c r="B29" s="16">
        <v>209269.09549660966</v>
      </c>
      <c r="C29" s="16">
        <f>SUM(C30:C32)</f>
        <v>119497</v>
      </c>
      <c r="D29" s="16">
        <f>SUM(D30:D32)</f>
        <v>180285</v>
      </c>
    </row>
    <row r="30" spans="1:4" ht="10.15" customHeight="1" x14ac:dyDescent="0.25">
      <c r="A30" s="28" t="s">
        <v>25</v>
      </c>
      <c r="B30" s="5">
        <v>209046.54858080315</v>
      </c>
      <c r="C30" s="4">
        <f>4676+24005+87800</f>
        <v>116481</v>
      </c>
      <c r="D30" s="4">
        <f>13057+21468+84400+58723</f>
        <v>177648</v>
      </c>
    </row>
    <row r="31" spans="1:4" ht="10.15" customHeight="1" x14ac:dyDescent="0.25">
      <c r="A31" s="28" t="s">
        <v>26</v>
      </c>
      <c r="B31" s="5">
        <v>222.54691580650154</v>
      </c>
      <c r="C31" s="4">
        <v>3016</v>
      </c>
      <c r="D31" s="4">
        <v>0</v>
      </c>
    </row>
    <row r="32" spans="1:4" ht="10.15" customHeight="1" x14ac:dyDescent="0.25">
      <c r="A32" s="28" t="s">
        <v>21</v>
      </c>
      <c r="B32" s="5">
        <v>0</v>
      </c>
      <c r="C32" s="4">
        <v>0</v>
      </c>
      <c r="D32" s="4">
        <v>2637</v>
      </c>
    </row>
    <row r="33" spans="1:4" ht="10.15" customHeight="1" x14ac:dyDescent="0.25">
      <c r="A33" s="14" t="s">
        <v>15</v>
      </c>
      <c r="B33" s="5">
        <f>+B34</f>
        <v>57635</v>
      </c>
      <c r="C33" s="4">
        <v>0</v>
      </c>
      <c r="D33" s="4">
        <v>0</v>
      </c>
    </row>
    <row r="34" spans="1:4" ht="10.15" customHeight="1" x14ac:dyDescent="0.25">
      <c r="A34" s="15" t="s">
        <v>24</v>
      </c>
      <c r="B34" s="5">
        <f>+B35</f>
        <v>57635</v>
      </c>
      <c r="C34" s="4">
        <v>0</v>
      </c>
      <c r="D34" s="4">
        <v>0</v>
      </c>
    </row>
    <row r="35" spans="1:4" ht="10.15" customHeight="1" x14ac:dyDescent="0.25">
      <c r="A35" s="28" t="s">
        <v>25</v>
      </c>
      <c r="B35" s="5">
        <v>57635</v>
      </c>
      <c r="C35" s="4">
        <v>0</v>
      </c>
      <c r="D35" s="4">
        <v>0</v>
      </c>
    </row>
    <row r="36" spans="1:4" ht="3" customHeight="1" x14ac:dyDescent="0.25">
      <c r="A36" s="31"/>
      <c r="B36" s="12"/>
      <c r="C36" s="11"/>
      <c r="D36" s="11"/>
    </row>
    <row r="37" spans="1:4" ht="10.15" customHeight="1" x14ac:dyDescent="0.25">
      <c r="A37" s="32"/>
      <c r="B37" s="5"/>
      <c r="C37" s="4"/>
      <c r="D37" s="29" t="s">
        <v>17</v>
      </c>
    </row>
  </sheetData>
  <printOptions horizontalCentered="1"/>
  <pageMargins left="1.9685039370078741" right="1.9685039370078741" top="3.6220472440944884" bottom="2.9527559055118111" header="0" footer="0"/>
  <pageSetup paperSize="9" orientation="portrait" r:id="rId1"/>
  <headerFooter alignWithMargins="0"/>
  <colBreaks count="1" manualBreakCount="1">
    <brk id="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D50"/>
  <sheetViews>
    <sheetView showGridLines="0" showZeros="0" zoomScale="110" zoomScaleNormal="110" workbookViewId="0">
      <selection activeCell="A50" sqref="A50"/>
    </sheetView>
  </sheetViews>
  <sheetFormatPr baseColWidth="10" defaultColWidth="7.140625" defaultRowHeight="9" x14ac:dyDescent="0.25"/>
  <cols>
    <col min="1" max="1" width="24.5703125" style="3" customWidth="1"/>
    <col min="2" max="2" width="9.7109375" style="2" customWidth="1"/>
    <col min="3" max="4" width="9.7109375" style="1" customWidth="1"/>
    <col min="5" max="28" width="7.140625" style="1" customWidth="1"/>
    <col min="29" max="16384" width="7.140625" style="1"/>
  </cols>
  <sheetData>
    <row r="1" spans="1:4" ht="12" customHeight="1" x14ac:dyDescent="0.25">
      <c r="A1" s="27" t="s">
        <v>30</v>
      </c>
    </row>
    <row r="2" spans="1:4" ht="10.9" customHeight="1" x14ac:dyDescent="0.25">
      <c r="A2" s="23" t="s">
        <v>29</v>
      </c>
    </row>
    <row r="3" spans="1:4" s="8" customFormat="1" ht="10.15" customHeight="1" x14ac:dyDescent="0.25">
      <c r="A3" s="22" t="s">
        <v>16</v>
      </c>
      <c r="B3" s="9"/>
    </row>
    <row r="4" spans="1:4" ht="10.15" customHeight="1" x14ac:dyDescent="0.25">
      <c r="A4" s="26"/>
      <c r="B4" s="25"/>
      <c r="C4" s="24"/>
      <c r="D4" s="29" t="s">
        <v>18</v>
      </c>
    </row>
    <row r="5" spans="1:4" ht="13.15" customHeight="1" x14ac:dyDescent="0.25">
      <c r="A5" s="21" t="s">
        <v>9</v>
      </c>
      <c r="B5" s="20">
        <v>2014</v>
      </c>
      <c r="C5" s="19">
        <v>2015</v>
      </c>
      <c r="D5" s="19">
        <v>2016</v>
      </c>
    </row>
    <row r="6" spans="1:4" ht="3" customHeight="1" x14ac:dyDescent="0.25">
      <c r="A6" s="28"/>
      <c r="B6" s="5"/>
      <c r="C6" s="4"/>
      <c r="D6" s="4"/>
    </row>
    <row r="7" spans="1:4" ht="10.15" customHeight="1" x14ac:dyDescent="0.25">
      <c r="A7" s="18" t="s">
        <v>11</v>
      </c>
      <c r="B7" s="17">
        <f>SUM(B9:B11)+B16</f>
        <v>385678</v>
      </c>
      <c r="C7" s="17">
        <f>SUM(C9:C11)</f>
        <v>210440</v>
      </c>
      <c r="D7" s="17">
        <f>SUM(D9:D11)+1</f>
        <v>235829</v>
      </c>
    </row>
    <row r="8" spans="1:4" ht="10.15" customHeight="1" x14ac:dyDescent="0.25">
      <c r="A8" s="14" t="s">
        <v>14</v>
      </c>
      <c r="B8" s="17">
        <f>SUM(B9:B11)</f>
        <v>338636</v>
      </c>
      <c r="C8" s="17">
        <f t="shared" ref="C8:D8" si="0">SUM(C9:C11)</f>
        <v>210440</v>
      </c>
      <c r="D8" s="17">
        <f t="shared" si="0"/>
        <v>235828</v>
      </c>
    </row>
    <row r="9" spans="1:4" ht="10.15" customHeight="1" x14ac:dyDescent="0.25">
      <c r="A9" s="15" t="s">
        <v>23</v>
      </c>
      <c r="B9" s="5">
        <v>54851</v>
      </c>
      <c r="C9" s="4">
        <v>28868</v>
      </c>
      <c r="D9" s="4">
        <v>29525</v>
      </c>
    </row>
    <row r="10" spans="1:4" ht="10.15" customHeight="1" x14ac:dyDescent="0.25">
      <c r="A10" s="15" t="s">
        <v>27</v>
      </c>
      <c r="B10" s="5">
        <v>34152</v>
      </c>
      <c r="C10" s="4">
        <v>54968</v>
      </c>
      <c r="D10" s="4">
        <v>57945</v>
      </c>
    </row>
    <row r="11" spans="1:4" ht="10.15" customHeight="1" x14ac:dyDescent="0.25">
      <c r="A11" s="15" t="s">
        <v>24</v>
      </c>
      <c r="B11" s="4">
        <f>SUM(B12:B14)+1</f>
        <v>249633</v>
      </c>
      <c r="C11" s="4">
        <f>SUM(C12:C14)</f>
        <v>126604</v>
      </c>
      <c r="D11" s="4">
        <f>SUM(D12:D14)</f>
        <v>148358</v>
      </c>
    </row>
    <row r="12" spans="1:4" ht="10.15" customHeight="1" x14ac:dyDescent="0.25">
      <c r="A12" s="28" t="s">
        <v>25</v>
      </c>
      <c r="B12" s="5">
        <f>99281+27485+29986+92700</f>
        <v>249452</v>
      </c>
      <c r="C12" s="4">
        <f>817+29986+92700</f>
        <v>123503</v>
      </c>
      <c r="D12" s="4">
        <f>2537+44752+89200+10021</f>
        <v>146510</v>
      </c>
    </row>
    <row r="13" spans="1:4" ht="10.15" customHeight="1" x14ac:dyDescent="0.25">
      <c r="A13" s="28" t="s">
        <v>26</v>
      </c>
      <c r="B13" s="5">
        <f>112+68</f>
        <v>180</v>
      </c>
      <c r="C13" s="4">
        <v>0</v>
      </c>
      <c r="D13" s="4">
        <v>0</v>
      </c>
    </row>
    <row r="14" spans="1:4" ht="10.15" customHeight="1" x14ac:dyDescent="0.25">
      <c r="A14" s="28" t="s">
        <v>21</v>
      </c>
      <c r="B14" s="5">
        <v>0</v>
      </c>
      <c r="C14" s="4">
        <v>3101</v>
      </c>
      <c r="D14" s="4">
        <v>1848</v>
      </c>
    </row>
    <row r="15" spans="1:4" ht="10.15" customHeight="1" x14ac:dyDescent="0.25">
      <c r="A15" s="14" t="s">
        <v>15</v>
      </c>
      <c r="B15" s="5">
        <f>+B16</f>
        <v>47042</v>
      </c>
      <c r="C15" s="4">
        <v>0</v>
      </c>
      <c r="D15" s="4">
        <v>0</v>
      </c>
    </row>
    <row r="16" spans="1:4" ht="10.15" customHeight="1" x14ac:dyDescent="0.25">
      <c r="A16" s="15" t="s">
        <v>24</v>
      </c>
      <c r="B16" s="5">
        <f>+B17</f>
        <v>47042</v>
      </c>
      <c r="C16" s="4">
        <v>0</v>
      </c>
      <c r="D16" s="4">
        <v>0</v>
      </c>
    </row>
    <row r="17" spans="1:4" ht="10.15" customHeight="1" x14ac:dyDescent="0.25">
      <c r="A17" s="28" t="s">
        <v>25</v>
      </c>
      <c r="B17" s="5">
        <v>47042</v>
      </c>
      <c r="C17" s="4">
        <v>0</v>
      </c>
      <c r="D17" s="4">
        <v>0</v>
      </c>
    </row>
    <row r="18" spans="1:4" ht="10.15" customHeight="1" x14ac:dyDescent="0.25">
      <c r="A18" s="18" t="s">
        <v>10</v>
      </c>
      <c r="B18" s="17">
        <f>+B19+B25</f>
        <v>637401.93305608595</v>
      </c>
      <c r="C18" s="17">
        <f>+C19+C25</f>
        <v>737636</v>
      </c>
      <c r="D18" s="17">
        <f>+D19+D25</f>
        <v>600461</v>
      </c>
    </row>
    <row r="19" spans="1:4" ht="10.15" customHeight="1" x14ac:dyDescent="0.25">
      <c r="A19" s="14" t="s">
        <v>14</v>
      </c>
      <c r="B19" s="16">
        <f>+B21+B20+B22</f>
        <v>376082.11990972608</v>
      </c>
      <c r="C19" s="16">
        <f>+C21+C20+C22+1</f>
        <v>531955</v>
      </c>
      <c r="D19" s="16">
        <f>SUM(D20:D22)</f>
        <v>395331</v>
      </c>
    </row>
    <row r="20" spans="1:4" ht="10.15" customHeight="1" x14ac:dyDescent="0.25">
      <c r="A20" s="14" t="s">
        <v>23</v>
      </c>
      <c r="B20" s="5">
        <v>67830.05</v>
      </c>
      <c r="C20" s="4">
        <v>150022</v>
      </c>
      <c r="D20" s="4">
        <v>118664</v>
      </c>
    </row>
    <row r="21" spans="1:4" ht="10.15" customHeight="1" x14ac:dyDescent="0.25">
      <c r="A21" s="14" t="s">
        <v>27</v>
      </c>
      <c r="B21" s="5">
        <v>139889.70346248808</v>
      </c>
      <c r="C21" s="4">
        <v>127226</v>
      </c>
      <c r="D21" s="4">
        <v>84792</v>
      </c>
    </row>
    <row r="22" spans="1:4" ht="10.15" customHeight="1" x14ac:dyDescent="0.25">
      <c r="A22" s="14" t="s">
        <v>24</v>
      </c>
      <c r="B22" s="16">
        <v>168362.36644723802</v>
      </c>
      <c r="C22" s="6">
        <f>+C23+C24</f>
        <v>254706</v>
      </c>
      <c r="D22" s="6">
        <f>SUM(D23:D24)</f>
        <v>191875</v>
      </c>
    </row>
    <row r="23" spans="1:4" ht="10.15" customHeight="1" x14ac:dyDescent="0.25">
      <c r="A23" s="14" t="s">
        <v>7</v>
      </c>
      <c r="B23" s="5">
        <f>8663+39483+49233+70350</f>
        <v>167729</v>
      </c>
      <c r="C23" s="4">
        <f>6881+43769+68489+133109</f>
        <v>252248</v>
      </c>
      <c r="D23" s="4">
        <f>43769+13077+134229</f>
        <v>191075</v>
      </c>
    </row>
    <row r="24" spans="1:4" ht="10.15" customHeight="1" x14ac:dyDescent="0.25">
      <c r="A24" s="14" t="s">
        <v>6</v>
      </c>
      <c r="B24" s="5">
        <f>174+459</f>
        <v>633</v>
      </c>
      <c r="C24" s="4">
        <f>757+247+1454</f>
        <v>2458</v>
      </c>
      <c r="D24" s="4">
        <f>579+221</f>
        <v>800</v>
      </c>
    </row>
    <row r="25" spans="1:4" ht="10.15" customHeight="1" x14ac:dyDescent="0.25">
      <c r="A25" s="14" t="s">
        <v>15</v>
      </c>
      <c r="B25" s="5">
        <f>+B26</f>
        <v>261319.81314635984</v>
      </c>
      <c r="C25" s="5">
        <f>+C26</f>
        <v>205681</v>
      </c>
      <c r="D25" s="5">
        <f>+D26</f>
        <v>205130</v>
      </c>
    </row>
    <row r="26" spans="1:4" ht="10.15" customHeight="1" x14ac:dyDescent="0.25">
      <c r="A26" s="15" t="s">
        <v>4</v>
      </c>
      <c r="B26" s="5">
        <v>261319.81314635984</v>
      </c>
      <c r="C26" s="4">
        <f>SUM(C27:C28)</f>
        <v>205681</v>
      </c>
      <c r="D26" s="4">
        <f>SUM(D27:D28)</f>
        <v>205130</v>
      </c>
    </row>
    <row r="27" spans="1:4" ht="10.15" customHeight="1" x14ac:dyDescent="0.25">
      <c r="A27" s="14" t="s">
        <v>3</v>
      </c>
      <c r="B27" s="5">
        <f>219250+609+23054</f>
        <v>242913</v>
      </c>
      <c r="C27" s="4">
        <f>142500+53078+149</f>
        <v>195727</v>
      </c>
      <c r="D27" s="4">
        <f>142500+52676</f>
        <v>195176</v>
      </c>
    </row>
    <row r="28" spans="1:4" ht="10.15" customHeight="1" x14ac:dyDescent="0.25">
      <c r="A28" s="14" t="s">
        <v>2</v>
      </c>
      <c r="B28" s="5">
        <f>4006+14400</f>
        <v>18406</v>
      </c>
      <c r="C28" s="4">
        <f>4000+5954</f>
        <v>9954</v>
      </c>
      <c r="D28" s="4">
        <f>4000+5954</f>
        <v>9954</v>
      </c>
    </row>
    <row r="29" spans="1:4" ht="10.15" customHeight="1" x14ac:dyDescent="0.25">
      <c r="A29" s="18" t="s">
        <v>8</v>
      </c>
      <c r="B29" s="17">
        <f t="shared" ref="B29:C29" si="1">+B30+B37</f>
        <v>5428740.5309150554</v>
      </c>
      <c r="C29" s="17">
        <f t="shared" si="1"/>
        <v>9925351</v>
      </c>
      <c r="D29" s="17">
        <f>+D30+D37</f>
        <v>14713590</v>
      </c>
    </row>
    <row r="30" spans="1:4" ht="10.15" customHeight="1" x14ac:dyDescent="0.25">
      <c r="A30" s="14" t="s">
        <v>14</v>
      </c>
      <c r="B30" s="16">
        <f>+B32+B31+B33</f>
        <v>1152223.2157761785</v>
      </c>
      <c r="C30" s="16">
        <f>+C32+C31+C33</f>
        <v>792428</v>
      </c>
      <c r="D30" s="16">
        <f>SUM(D31:D33)</f>
        <v>1160690</v>
      </c>
    </row>
    <row r="31" spans="1:4" ht="10.15" customHeight="1" x14ac:dyDescent="0.25">
      <c r="A31" s="14" t="s">
        <v>23</v>
      </c>
      <c r="B31" s="5">
        <v>494682</v>
      </c>
      <c r="C31" s="4">
        <v>470592</v>
      </c>
      <c r="D31" s="4">
        <v>604443</v>
      </c>
    </row>
    <row r="32" spans="1:4" ht="10.15" customHeight="1" x14ac:dyDescent="0.25">
      <c r="A32" s="14" t="s">
        <v>27</v>
      </c>
      <c r="B32" s="5">
        <v>189008.29737417918</v>
      </c>
      <c r="C32" s="4">
        <v>169030</v>
      </c>
      <c r="D32" s="4">
        <v>107657</v>
      </c>
    </row>
    <row r="33" spans="1:4" ht="10.15" customHeight="1" x14ac:dyDescent="0.25">
      <c r="A33" s="14" t="s">
        <v>24</v>
      </c>
      <c r="B33" s="16">
        <v>468532.91840199928</v>
      </c>
      <c r="C33" s="4">
        <f>SUM(C34:C36)</f>
        <v>152806</v>
      </c>
      <c r="D33" s="4">
        <f>SUM(D34:D36)</f>
        <v>448590</v>
      </c>
    </row>
    <row r="34" spans="1:4" ht="10.15" customHeight="1" x14ac:dyDescent="0.25">
      <c r="A34" s="28" t="s">
        <v>25</v>
      </c>
      <c r="B34" s="5">
        <f>19092+187998+191500</f>
        <v>398590</v>
      </c>
      <c r="C34" s="4">
        <f>54166+79750</f>
        <v>133916</v>
      </c>
      <c r="D34" s="4">
        <v>429700</v>
      </c>
    </row>
    <row r="35" spans="1:4" ht="10.15" customHeight="1" x14ac:dyDescent="0.25">
      <c r="A35" s="28" t="s">
        <v>26</v>
      </c>
      <c r="B35" s="5">
        <f>1198+8746</f>
        <v>9944</v>
      </c>
      <c r="C35" s="4">
        <v>18890</v>
      </c>
      <c r="D35" s="4">
        <v>0</v>
      </c>
    </row>
    <row r="36" spans="1:4" ht="10.15" customHeight="1" x14ac:dyDescent="0.25">
      <c r="A36" s="28" t="s">
        <v>21</v>
      </c>
      <c r="B36" s="5">
        <f>20000+20000+20000</f>
        <v>60000</v>
      </c>
      <c r="C36" s="4" t="s">
        <v>5</v>
      </c>
      <c r="D36" s="4">
        <v>18890</v>
      </c>
    </row>
    <row r="37" spans="1:4" ht="10.15" customHeight="1" x14ac:dyDescent="0.25">
      <c r="A37" s="14" t="s">
        <v>15</v>
      </c>
      <c r="B37" s="16">
        <f t="shared" ref="B37:C37" si="2">SUM(B38:B41)+B45</f>
        <v>4276517.3151388774</v>
      </c>
      <c r="C37" s="16">
        <f t="shared" si="2"/>
        <v>9132923</v>
      </c>
      <c r="D37" s="16">
        <f>SUM(D38:D41)+D45</f>
        <v>13552900</v>
      </c>
    </row>
    <row r="38" spans="1:4" ht="10.15" customHeight="1" x14ac:dyDescent="0.25">
      <c r="A38" s="14" t="s">
        <v>23</v>
      </c>
      <c r="B38" s="5">
        <v>1099800</v>
      </c>
      <c r="C38" s="4">
        <v>3343970</v>
      </c>
      <c r="D38" s="4">
        <v>3073870</v>
      </c>
    </row>
    <row r="39" spans="1:4" ht="10.15" customHeight="1" x14ac:dyDescent="0.25">
      <c r="A39" s="14" t="s">
        <v>27</v>
      </c>
      <c r="B39" s="5">
        <v>140500</v>
      </c>
      <c r="C39" s="4">
        <v>127000</v>
      </c>
      <c r="D39" s="4">
        <v>69500</v>
      </c>
    </row>
    <row r="40" spans="1:4" ht="10.15" customHeight="1" x14ac:dyDescent="0.25">
      <c r="A40" s="15" t="s">
        <v>22</v>
      </c>
      <c r="B40" s="5">
        <v>24000</v>
      </c>
      <c r="C40" s="4">
        <v>24000</v>
      </c>
      <c r="D40" s="4">
        <v>24000</v>
      </c>
    </row>
    <row r="41" spans="1:4" ht="10.15" customHeight="1" x14ac:dyDescent="0.25">
      <c r="A41" s="15" t="s">
        <v>24</v>
      </c>
      <c r="B41" s="5">
        <v>1744372.4677399753</v>
      </c>
      <c r="C41" s="4">
        <f>SUM(C42:C44)</f>
        <v>4632615</v>
      </c>
      <c r="D41" s="4">
        <f>SUM(D42:D44)</f>
        <v>2940723</v>
      </c>
    </row>
    <row r="42" spans="1:4" ht="10.15" customHeight="1" x14ac:dyDescent="0.25">
      <c r="A42" s="14" t="s">
        <v>3</v>
      </c>
      <c r="B42" s="5">
        <f>124362+43007+27783+32000+107034+45287+92585+40000+32636+33057+30000+25000</f>
        <v>632751</v>
      </c>
      <c r="C42" s="4">
        <f>669110+10800+26000+32000+90989+341000+423000+40000+971908+155892+1364000+25000+20000</f>
        <v>4169699</v>
      </c>
      <c r="D42" s="4">
        <f>669110+10800+32000+90989+341000+423000+971908+25000</f>
        <v>2563807</v>
      </c>
    </row>
    <row r="43" spans="1:4" ht="10.15" customHeight="1" x14ac:dyDescent="0.25">
      <c r="A43" s="14" t="s">
        <v>2</v>
      </c>
      <c r="B43" s="5">
        <f>5020+70500+789000+30300+25800+22000+25000+20000+20000</f>
        <v>1007620</v>
      </c>
      <c r="C43" s="4">
        <f>4550+218300+114066+22000+20000</f>
        <v>378916</v>
      </c>
      <c r="D43" s="4">
        <f>4550+218300+114066</f>
        <v>336916</v>
      </c>
    </row>
    <row r="44" spans="1:4" ht="10.15" customHeight="1" x14ac:dyDescent="0.25">
      <c r="A44" s="14" t="s">
        <v>1</v>
      </c>
      <c r="B44" s="5">
        <f>64000+40000</f>
        <v>104000</v>
      </c>
      <c r="C44" s="4">
        <f>44000+40000</f>
        <v>84000</v>
      </c>
      <c r="D44" s="4">
        <v>40000</v>
      </c>
    </row>
    <row r="45" spans="1:4" ht="10.15" customHeight="1" x14ac:dyDescent="0.25">
      <c r="A45" s="14" t="s">
        <v>0</v>
      </c>
      <c r="B45" s="5">
        <v>1267844.8473989023</v>
      </c>
      <c r="C45" s="4">
        <v>1005338</v>
      </c>
      <c r="D45" s="4">
        <v>7444807</v>
      </c>
    </row>
    <row r="46" spans="1:4" ht="1.9" customHeight="1" x14ac:dyDescent="0.25">
      <c r="A46" s="13"/>
      <c r="B46" s="12"/>
      <c r="C46" s="11"/>
      <c r="D46" s="11"/>
    </row>
    <row r="47" spans="1:4" ht="82.15" customHeight="1" x14ac:dyDescent="0.25">
      <c r="A47" s="33" t="s">
        <v>31</v>
      </c>
      <c r="B47" s="33"/>
      <c r="C47" s="33"/>
      <c r="D47" s="33"/>
    </row>
    <row r="48" spans="1:4" ht="10.15" customHeight="1" x14ac:dyDescent="0.25">
      <c r="A48" s="10" t="s">
        <v>32</v>
      </c>
      <c r="B48" s="9"/>
      <c r="C48" s="8"/>
      <c r="D48" s="8"/>
    </row>
    <row r="49" spans="1:1" x14ac:dyDescent="0.25">
      <c r="A49" s="7" t="s">
        <v>33</v>
      </c>
    </row>
    <row r="50" spans="1:1" x14ac:dyDescent="0.25">
      <c r="A50" s="7" t="s">
        <v>28</v>
      </c>
    </row>
  </sheetData>
  <mergeCells count="1">
    <mergeCell ref="A47:D47"/>
  </mergeCells>
  <printOptions horizontalCentered="1"/>
  <pageMargins left="1.9685039370078741" right="1.9685039370078741" top="0.98425196850393704" bottom="2.7559055118110236" header="0" footer="0"/>
  <pageSetup paperSize="9" orientation="portrait" r:id="rId1"/>
  <headerFooter alignWithMargins="0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1541</vt:lpstr>
      <vt:lpstr>1541(2)</vt:lpstr>
      <vt:lpstr>'1541'!Área_de_impresión</vt:lpstr>
      <vt:lpstr>'1541(2)'!Área_de_impresión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Augusta Jauregui</dc:creator>
  <cp:lastModifiedBy>Guido Trujillo Valdiviezo</cp:lastModifiedBy>
  <cp:lastPrinted>2018-06-26T19:47:48Z</cp:lastPrinted>
  <dcterms:created xsi:type="dcterms:W3CDTF">2016-05-25T15:48:00Z</dcterms:created>
  <dcterms:modified xsi:type="dcterms:W3CDTF">2018-11-20T16:51:42Z</dcterms:modified>
</cp:coreProperties>
</file>